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4240" windowHeight="1374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K47" i="1" l="1"/>
  <c r="I47" i="1"/>
  <c r="G47" i="1"/>
  <c r="L29" i="1"/>
  <c r="K29" i="1"/>
  <c r="J29" i="1"/>
  <c r="I29" i="1"/>
  <c r="H29" i="1"/>
  <c r="G29" i="1"/>
  <c r="F29" i="1"/>
  <c r="D29" i="1"/>
  <c r="E49" i="1"/>
  <c r="G49" i="1" s="1"/>
  <c r="I49" i="1" s="1"/>
  <c r="K49" i="1" s="1"/>
  <c r="E48" i="1"/>
  <c r="G48" i="1" s="1"/>
  <c r="I48" i="1" s="1"/>
  <c r="K48" i="1" s="1"/>
  <c r="E39" i="1"/>
  <c r="G39" i="1" s="1"/>
  <c r="I39" i="1" s="1"/>
  <c r="K39" i="1" s="1"/>
  <c r="E38" i="1"/>
  <c r="G38" i="1" s="1"/>
  <c r="I38" i="1" s="1"/>
  <c r="K38" i="1" s="1"/>
  <c r="E37" i="1"/>
  <c r="G37" i="1" s="1"/>
  <c r="I37" i="1" s="1"/>
  <c r="K37" i="1" s="1"/>
  <c r="E30" i="1"/>
  <c r="G30" i="1" s="1"/>
  <c r="E28" i="1"/>
  <c r="G28" i="1" s="1"/>
  <c r="E27" i="1"/>
  <c r="G27" i="1" s="1"/>
  <c r="E26" i="1"/>
  <c r="G26" i="1" s="1"/>
  <c r="E18" i="1"/>
  <c r="G18" i="1" s="1"/>
  <c r="I18" i="1" s="1"/>
  <c r="K18" i="1" s="1"/>
  <c r="E17" i="1"/>
  <c r="G17" i="1" s="1"/>
  <c r="I17" i="1" s="1"/>
  <c r="K17" i="1" s="1"/>
  <c r="E16" i="1"/>
  <c r="G16" i="1" s="1"/>
  <c r="I16" i="1" s="1"/>
  <c r="K16" i="1" s="1"/>
  <c r="E9" i="1"/>
  <c r="G9" i="1" s="1"/>
  <c r="G55" i="1" s="1"/>
  <c r="E7" i="1"/>
  <c r="G7" i="1" s="1"/>
  <c r="E6" i="1"/>
  <c r="G6" i="1" s="1"/>
  <c r="I6" i="1" s="1"/>
  <c r="E5" i="1"/>
  <c r="G5" i="1" s="1"/>
  <c r="I5" i="1" s="1"/>
  <c r="F9" i="1"/>
  <c r="F11" i="1" s="1"/>
  <c r="F7" i="1"/>
  <c r="F6" i="1"/>
  <c r="F5" i="1"/>
  <c r="C40" i="1"/>
  <c r="E40" i="1" s="1"/>
  <c r="G40" i="1" s="1"/>
  <c r="I40" i="1" s="1"/>
  <c r="K40" i="1" s="1"/>
  <c r="K58" i="1" s="1"/>
  <c r="C19" i="1"/>
  <c r="E19" i="1" s="1"/>
  <c r="G19" i="1" s="1"/>
  <c r="I19" i="1" s="1"/>
  <c r="K19" i="1" s="1"/>
  <c r="K56" i="1" s="1"/>
  <c r="D7" i="1"/>
  <c r="D6" i="1"/>
  <c r="D5" i="1"/>
  <c r="D28" i="1"/>
  <c r="D27" i="1"/>
  <c r="D26" i="1"/>
  <c r="D25" i="1" s="1"/>
  <c r="D30" i="1"/>
  <c r="D32" i="1" s="1"/>
  <c r="D9" i="1"/>
  <c r="K60" i="1" l="1"/>
  <c r="K50" i="1"/>
  <c r="H27" i="1"/>
  <c r="G32" i="1"/>
  <c r="H30" i="1"/>
  <c r="H32" i="1" s="1"/>
  <c r="G56" i="1"/>
  <c r="I56" i="1"/>
  <c r="G58" i="1"/>
  <c r="G60" i="1" s="1"/>
  <c r="I58" i="1"/>
  <c r="I60" i="1" s="1"/>
  <c r="G50" i="1"/>
  <c r="I50" i="1"/>
  <c r="G25" i="1"/>
  <c r="G57" i="1" s="1"/>
  <c r="G59" i="1" s="1"/>
  <c r="D36" i="1"/>
  <c r="D39" i="1" s="1"/>
  <c r="F30" i="1"/>
  <c r="F32" i="1" s="1"/>
  <c r="F27" i="1"/>
  <c r="D4" i="1"/>
  <c r="F26" i="1"/>
  <c r="F28" i="1"/>
  <c r="D34" i="1"/>
  <c r="D37" i="1" s="1"/>
  <c r="K5" i="1"/>
  <c r="L5" i="1" s="1"/>
  <c r="J5" i="1"/>
  <c r="I7" i="1"/>
  <c r="H7" i="1"/>
  <c r="H6" i="1"/>
  <c r="F3" i="1"/>
  <c r="F4" i="1"/>
  <c r="K6" i="1"/>
  <c r="L6" i="1" s="1"/>
  <c r="J6" i="1"/>
  <c r="I9" i="1"/>
  <c r="I55" i="1" s="1"/>
  <c r="H9" i="1"/>
  <c r="H26" i="1"/>
  <c r="I26" i="1"/>
  <c r="H28" i="1"/>
  <c r="I28" i="1"/>
  <c r="H5" i="1"/>
  <c r="I27" i="1"/>
  <c r="I30" i="1"/>
  <c r="I32" i="1" s="1"/>
  <c r="H11" i="1"/>
  <c r="D35" i="1"/>
  <c r="D38" i="1" s="1"/>
  <c r="F15" i="1"/>
  <c r="F18" i="1" s="1"/>
  <c r="F13" i="1"/>
  <c r="F16" i="1" s="1"/>
  <c r="F14" i="1"/>
  <c r="F17" i="1" s="1"/>
  <c r="D3" i="1"/>
  <c r="D24" i="1"/>
  <c r="D11" i="1"/>
  <c r="F25" i="1" l="1"/>
  <c r="H25" i="1"/>
  <c r="I25" i="1"/>
  <c r="I57" i="1" s="1"/>
  <c r="I59" i="1" s="1"/>
  <c r="F24" i="1"/>
  <c r="J27" i="1"/>
  <c r="K27" i="1"/>
  <c r="L27" i="1" s="1"/>
  <c r="J28" i="1"/>
  <c r="K28" i="1"/>
  <c r="L28" i="1" s="1"/>
  <c r="J26" i="1"/>
  <c r="J25" i="1" s="1"/>
  <c r="K26" i="1"/>
  <c r="K7" i="1"/>
  <c r="L7" i="1" s="1"/>
  <c r="L3" i="1" s="1"/>
  <c r="J7" i="1"/>
  <c r="J4" i="1" s="1"/>
  <c r="L4" i="1"/>
  <c r="J30" i="1"/>
  <c r="K30" i="1"/>
  <c r="H4" i="1"/>
  <c r="H3" i="1"/>
  <c r="H24" i="1"/>
  <c r="K9" i="1"/>
  <c r="J9" i="1"/>
  <c r="J11" i="1" s="1"/>
  <c r="J13" i="1" s="1"/>
  <c r="J16" i="1" s="1"/>
  <c r="J3" i="1"/>
  <c r="H15" i="1"/>
  <c r="H18" i="1" s="1"/>
  <c r="H13" i="1"/>
  <c r="H16" i="1" s="1"/>
  <c r="H14" i="1"/>
  <c r="H17" i="1" s="1"/>
  <c r="H36" i="1"/>
  <c r="H39" i="1" s="1"/>
  <c r="H34" i="1"/>
  <c r="H37" i="1" s="1"/>
  <c r="H35" i="1"/>
  <c r="H38" i="1" s="1"/>
  <c r="F12" i="1"/>
  <c r="F35" i="1"/>
  <c r="F38" i="1" s="1"/>
  <c r="F36" i="1"/>
  <c r="F39" i="1" s="1"/>
  <c r="F34" i="1"/>
  <c r="F37" i="1" s="1"/>
  <c r="D15" i="1"/>
  <c r="D18" i="1" s="1"/>
  <c r="D13" i="1"/>
  <c r="D14" i="1"/>
  <c r="D17" i="1" s="1"/>
  <c r="D33" i="1"/>
  <c r="J14" i="1" l="1"/>
  <c r="J17" i="1" s="1"/>
  <c r="D57" i="1"/>
  <c r="F19" i="1"/>
  <c r="F20" i="1" s="1"/>
  <c r="F21" i="1" s="1"/>
  <c r="F45" i="1" s="1"/>
  <c r="J15" i="1"/>
  <c r="J18" i="1" s="1"/>
  <c r="L9" i="1"/>
  <c r="L11" i="1" s="1"/>
  <c r="L13" i="1" s="1"/>
  <c r="L16" i="1" s="1"/>
  <c r="K55" i="1"/>
  <c r="L30" i="1"/>
  <c r="L32" i="1" s="1"/>
  <c r="K32" i="1"/>
  <c r="F55" i="1"/>
  <c r="L26" i="1"/>
  <c r="K25" i="1"/>
  <c r="K57" i="1" s="1"/>
  <c r="K59" i="1" s="1"/>
  <c r="J32" i="1"/>
  <c r="J34" i="1" s="1"/>
  <c r="J37" i="1" s="1"/>
  <c r="L14" i="1"/>
  <c r="L17" i="1" s="1"/>
  <c r="H33" i="1"/>
  <c r="H40" i="1" s="1"/>
  <c r="H41" i="1" s="1"/>
  <c r="H42" i="1" s="1"/>
  <c r="H46" i="1" s="1"/>
  <c r="J24" i="1"/>
  <c r="J12" i="1"/>
  <c r="H12" i="1"/>
  <c r="F33" i="1"/>
  <c r="D16" i="1"/>
  <c r="D12" i="1" s="1"/>
  <c r="D40" i="1"/>
  <c r="D41" i="1" s="1"/>
  <c r="D42" i="1" s="1"/>
  <c r="D46" i="1" s="1"/>
  <c r="D49" i="1"/>
  <c r="F40" i="1"/>
  <c r="F41" i="1" s="1"/>
  <c r="F42" i="1" s="1"/>
  <c r="F46" i="1" s="1"/>
  <c r="F47" i="1" l="1"/>
  <c r="F48" i="1"/>
  <c r="J35" i="1"/>
  <c r="J38" i="1" s="1"/>
  <c r="J36" i="1"/>
  <c r="J39" i="1" s="1"/>
  <c r="J33" i="1" s="1"/>
  <c r="F56" i="1"/>
  <c r="L34" i="1"/>
  <c r="L37" i="1" s="1"/>
  <c r="L36" i="1"/>
  <c r="L39" i="1" s="1"/>
  <c r="L35" i="1"/>
  <c r="L38" i="1" s="1"/>
  <c r="D19" i="1"/>
  <c r="D48" i="1" s="1"/>
  <c r="D50" i="1" s="1"/>
  <c r="D55" i="1"/>
  <c r="D59" i="1" s="1"/>
  <c r="F49" i="1"/>
  <c r="F50" i="1" s="1"/>
  <c r="F58" i="1"/>
  <c r="H19" i="1"/>
  <c r="H56" i="1" s="1"/>
  <c r="H49" i="1"/>
  <c r="H51" i="1" s="1"/>
  <c r="H58" i="1"/>
  <c r="L15" i="1"/>
  <c r="L18" i="1" s="1"/>
  <c r="L12" i="1" s="1"/>
  <c r="H55" i="1"/>
  <c r="D58" i="1"/>
  <c r="J19" i="1"/>
  <c r="J56" i="1" s="1"/>
  <c r="F57" i="1"/>
  <c r="F59" i="1" s="1"/>
  <c r="H57" i="1"/>
  <c r="H59" i="1" s="1"/>
  <c r="J55" i="1"/>
  <c r="L24" i="1"/>
  <c r="L25" i="1"/>
  <c r="D51" i="1"/>
  <c r="F51" i="1"/>
  <c r="F52" i="1" s="1"/>
  <c r="H20" i="1" l="1"/>
  <c r="H21" i="1" s="1"/>
  <c r="H45" i="1" s="1"/>
  <c r="H47" i="1" s="1"/>
  <c r="J20" i="1"/>
  <c r="J21" i="1" s="1"/>
  <c r="J45" i="1" s="1"/>
  <c r="F60" i="1"/>
  <c r="J57" i="1"/>
  <c r="J59" i="1" s="1"/>
  <c r="J40" i="1"/>
  <c r="J41" i="1" s="1"/>
  <c r="J42" i="1" s="1"/>
  <c r="J46" i="1" s="1"/>
  <c r="J47" i="1" s="1"/>
  <c r="J49" i="1"/>
  <c r="H48" i="1"/>
  <c r="D20" i="1"/>
  <c r="D21" i="1" s="1"/>
  <c r="D45" i="1" s="1"/>
  <c r="D47" i="1" s="1"/>
  <c r="J48" i="1"/>
  <c r="H60" i="1"/>
  <c r="L19" i="1"/>
  <c r="L56" i="1" s="1"/>
  <c r="L55" i="1"/>
  <c r="H50" i="1"/>
  <c r="D56" i="1"/>
  <c r="D60" i="1" s="1"/>
  <c r="L33" i="1"/>
  <c r="H52" i="1"/>
  <c r="J50" i="1" l="1"/>
  <c r="J51" i="1"/>
  <c r="J52" i="1" s="1"/>
  <c r="J58" i="1"/>
  <c r="J60" i="1" s="1"/>
  <c r="D52" i="1"/>
  <c r="L49" i="1"/>
  <c r="L40" i="1"/>
  <c r="L41" i="1" s="1"/>
  <c r="L42" i="1" s="1"/>
  <c r="L46" i="1" s="1"/>
  <c r="L48" i="1"/>
  <c r="L20" i="1"/>
  <c r="L21" i="1" s="1"/>
  <c r="L45" i="1" s="1"/>
  <c r="L57" i="1"/>
  <c r="L59" i="1" s="1"/>
  <c r="L50" i="1" l="1"/>
  <c r="L47" i="1"/>
  <c r="L51" i="1"/>
  <c r="L52" i="1" s="1"/>
  <c r="L58" i="1"/>
  <c r="L60" i="1" s="1"/>
</calcChain>
</file>

<file path=xl/sharedStrings.xml><?xml version="1.0" encoding="utf-8"?>
<sst xmlns="http://schemas.openxmlformats.org/spreadsheetml/2006/main" count="72" uniqueCount="55">
  <si>
    <t>Neto plaća</t>
  </si>
  <si>
    <t>Oporezivi dohodak</t>
  </si>
  <si>
    <t>Doprinos za zdravstveno (15%)</t>
  </si>
  <si>
    <t>Doprinos za slučaj ozljede (0.5%)</t>
  </si>
  <si>
    <t>Doprinos za zapošljavanje (1.7%)</t>
  </si>
  <si>
    <t>Ukupno doprinosi iz bruta (20%)</t>
  </si>
  <si>
    <t>Ukupna olakšica</t>
  </si>
  <si>
    <t>Ukupni porez</t>
  </si>
  <si>
    <t>Ukupno porez i prirez</t>
  </si>
  <si>
    <t>Osnovica za 12%</t>
  </si>
  <si>
    <t>Osnovica za 25%</t>
  </si>
  <si>
    <t>Osnovica za 40%</t>
  </si>
  <si>
    <t>Porez 12%</t>
  </si>
  <si>
    <t>Porez 25%</t>
  </si>
  <si>
    <t>Porez 40%</t>
  </si>
  <si>
    <t>Prirez</t>
  </si>
  <si>
    <t>Neto plaća u 2014</t>
  </si>
  <si>
    <t>Neto plaća u 2015</t>
  </si>
  <si>
    <t>Prirez u 2014</t>
  </si>
  <si>
    <t>Prirez u 2015</t>
  </si>
  <si>
    <t>Neto plaća nakon porezne reforme</t>
  </si>
  <si>
    <t>Neto plaća nakon novog prireza</t>
  </si>
  <si>
    <t>Ukupno doprinosi na bruto plaću</t>
  </si>
  <si>
    <t>Bruto plaća</t>
  </si>
  <si>
    <t>Ukupan trošak plaće (bruto 2)</t>
  </si>
  <si>
    <t>Ukupno doprinosi iz bruta</t>
  </si>
  <si>
    <t>Rekapitulacija povećanja/smanjenja plaće nakon izmjena poreza na dohodak i prireza</t>
  </si>
  <si>
    <t>Povećanje/smanjenje plaće nakon prireza</t>
  </si>
  <si>
    <t>PRIJE IZMJENA POREZA NA DOHODAK (2014)</t>
  </si>
  <si>
    <t>NAKON IZMJENA POREZA NA DOHODAK (2015)</t>
  </si>
  <si>
    <t>Povećanje/smanjenje plaće (2015 prije prireza)</t>
  </si>
  <si>
    <t>Ukupno opterećenje plaća doprinosima, porezom i prirezom raspodjeljuje se na:</t>
  </si>
  <si>
    <t>Državni proračun (2014)</t>
  </si>
  <si>
    <t>Gradski, općinski i županijski (2014)</t>
  </si>
  <si>
    <t>Državni proračun (2015)</t>
  </si>
  <si>
    <t>Gradski, općinski i županijski (2015)</t>
  </si>
  <si>
    <t>Povećanje/smanjenje državni proračun (2014/2015)</t>
  </si>
  <si>
    <t>Povećanje/smanjenje lokalni proračun (2014/2015)</t>
  </si>
  <si>
    <t>Polja označena žutom bojom možete mijenjati</t>
  </si>
  <si>
    <t>da biste dobili željenu neto plaću, odnosno</t>
  </si>
  <si>
    <t xml:space="preserve">izračunali promjene koje će nastati zbog </t>
  </si>
  <si>
    <t>Dokument je zaključan kako se ne nenamjernom</t>
  </si>
  <si>
    <t>pogreškom ne bi pobrisale formule.</t>
  </si>
  <si>
    <t>Ukoliko dokument trebate otvoriti šifra je ugrh</t>
  </si>
  <si>
    <t>uvođenja prireza. Osobni odbitak 1.</t>
  </si>
  <si>
    <t>Ova tablica ne uzima u obzir promjene statusa</t>
  </si>
  <si>
    <t xml:space="preserve">gradova i općina. Rezultat je povoljniji za </t>
  </si>
  <si>
    <t xml:space="preserve">lokalni proračun kod područja koja postaju </t>
  </si>
  <si>
    <t>potpomognuta, a nepovoljniji kod područja koja</t>
  </si>
  <si>
    <t>gube status.</t>
  </si>
  <si>
    <t>Povećanje/smanjenje prireza uz novu stopu prireza</t>
  </si>
  <si>
    <t>Postavljen je hipotetski scenarij povećanja prireza</t>
  </si>
  <si>
    <t>u Gradu Zagrebu sa 18 na 20%, koji zakonom nije</t>
  </si>
  <si>
    <t>dozvoljen.</t>
  </si>
  <si>
    <t>Svi podaci iskazani su u kunama.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</si>
</sst>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3" borderId="0" xfId="0" applyFill="1" applyBorder="1"/>
    <xf numFmtId="4" fontId="0" fillId="0" borderId="0" xfId="0" applyNumberFormat="1" applyBorder="1"/>
    <xf numFmtId="0" fontId="0" fillId="0" borderId="0" xfId="0" applyBorder="1"/>
    <xf numFmtId="0" fontId="1" fillId="0" borderId="0" xfId="0" applyFont="1" applyFill="1" applyBorder="1"/>
    <xf numFmtId="4" fontId="1" fillId="0" borderId="0" xfId="0" applyNumberFormat="1" applyFont="1" applyFill="1" applyBorder="1"/>
    <xf numFmtId="0" fontId="0" fillId="0" borderId="0" xfId="0" applyFill="1"/>
    <xf numFmtId="0" fontId="0" fillId="3" borderId="1" xfId="0" applyFill="1" applyBorder="1"/>
    <xf numFmtId="4" fontId="0" fillId="3" borderId="1" xfId="0" applyNumberFormat="1" applyFill="1" applyBorder="1"/>
    <xf numFmtId="0" fontId="1" fillId="3" borderId="1" xfId="0" applyFont="1" applyFill="1" applyBorder="1"/>
    <xf numFmtId="4" fontId="0" fillId="0" borderId="1" xfId="0" applyNumberFormat="1" applyBorder="1"/>
    <xf numFmtId="0" fontId="0" fillId="3" borderId="5" xfId="0" applyFill="1" applyBorder="1"/>
    <xf numFmtId="4" fontId="0" fillId="3" borderId="6" xfId="0" applyNumberFormat="1" applyFill="1" applyBorder="1"/>
    <xf numFmtId="0" fontId="1" fillId="3" borderId="5" xfId="0" applyFont="1" applyFill="1" applyBorder="1"/>
    <xf numFmtId="4" fontId="0" fillId="0" borderId="6" xfId="0" applyNumberFormat="1" applyBorder="1"/>
    <xf numFmtId="0" fontId="1" fillId="2" borderId="7" xfId="0" applyFont="1" applyFill="1" applyBorder="1"/>
    <xf numFmtId="0" fontId="1" fillId="2" borderId="8" xfId="0" applyFont="1" applyFill="1" applyBorder="1"/>
    <xf numFmtId="4" fontId="1" fillId="2" borderId="8" xfId="0" applyNumberFormat="1" applyFont="1" applyFill="1" applyBorder="1"/>
    <xf numFmtId="4" fontId="1" fillId="2" borderId="9" xfId="0" applyNumberFormat="1" applyFont="1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4" fontId="0" fillId="0" borderId="3" xfId="0" applyNumberFormat="1" applyBorder="1"/>
    <xf numFmtId="4" fontId="0" fillId="0" borderId="4" xfId="0" applyNumberFormat="1" applyBorder="1"/>
    <xf numFmtId="0" fontId="0" fillId="0" borderId="5" xfId="0" applyBorder="1"/>
    <xf numFmtId="4" fontId="1" fillId="3" borderId="1" xfId="0" applyNumberFormat="1" applyFont="1" applyFill="1" applyBorder="1"/>
    <xf numFmtId="0" fontId="0" fillId="2" borderId="5" xfId="0" applyFill="1" applyBorder="1"/>
    <xf numFmtId="0" fontId="0" fillId="2" borderId="1" xfId="0" applyFill="1" applyBorder="1"/>
    <xf numFmtId="4" fontId="0" fillId="2" borderId="1" xfId="0" applyNumberFormat="1" applyFill="1" applyBorder="1"/>
    <xf numFmtId="0" fontId="0" fillId="2" borderId="7" xfId="0" applyFill="1" applyBorder="1"/>
    <xf numFmtId="0" fontId="0" fillId="2" borderId="8" xfId="0" applyFill="1" applyBorder="1"/>
    <xf numFmtId="4" fontId="0" fillId="2" borderId="8" xfId="0" applyNumberFormat="1" applyFill="1" applyBorder="1"/>
    <xf numFmtId="4" fontId="0" fillId="2" borderId="9" xfId="0" applyNumberFormat="1" applyFill="1" applyBorder="1"/>
    <xf numFmtId="0" fontId="1" fillId="3" borderId="3" xfId="0" applyFont="1" applyFill="1" applyBorder="1"/>
    <xf numFmtId="4" fontId="1" fillId="3" borderId="3" xfId="0" applyNumberFormat="1" applyFont="1" applyFill="1" applyBorder="1"/>
    <xf numFmtId="4" fontId="1" fillId="3" borderId="4" xfId="0" applyNumberFormat="1" applyFont="1" applyFill="1" applyBorder="1"/>
    <xf numFmtId="4" fontId="1" fillId="3" borderId="6" xfId="0" applyNumberFormat="1" applyFont="1" applyFill="1" applyBorder="1"/>
    <xf numFmtId="0" fontId="1" fillId="0" borderId="0" xfId="0" applyFont="1"/>
    <xf numFmtId="0" fontId="0" fillId="3" borderId="2" xfId="0" applyFont="1" applyFill="1" applyBorder="1"/>
    <xf numFmtId="0" fontId="0" fillId="3" borderId="5" xfId="0" applyFont="1" applyFill="1" applyBorder="1"/>
    <xf numFmtId="0" fontId="1" fillId="0" borderId="0" xfId="0" applyFont="1" applyBorder="1"/>
    <xf numFmtId="0" fontId="0" fillId="0" borderId="2" xfId="0" applyFill="1" applyBorder="1"/>
    <xf numFmtId="0" fontId="0" fillId="0" borderId="5" xfId="0" applyFill="1" applyBorder="1"/>
    <xf numFmtId="4" fontId="0" fillId="2" borderId="6" xfId="0" applyNumberFormat="1" applyFill="1" applyBorder="1"/>
    <xf numFmtId="4" fontId="1" fillId="4" borderId="1" xfId="0" applyNumberFormat="1" applyFont="1" applyFill="1" applyBorder="1" applyProtection="1">
      <protection locked="0"/>
    </xf>
    <xf numFmtId="4" fontId="1" fillId="4" borderId="6" xfId="0" applyNumberFormat="1" applyFont="1" applyFill="1" applyBorder="1" applyProtection="1">
      <protection locked="0"/>
    </xf>
    <xf numFmtId="0" fontId="0" fillId="4" borderId="1" xfId="0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61"/>
  <sheetViews>
    <sheetView showGridLines="0" tabSelected="1" workbookViewId="0"/>
  </sheetViews>
  <sheetFormatPr defaultRowHeight="15" x14ac:dyDescent="0.25"/>
  <cols>
    <col min="2" max="2" width="46" customWidth="1"/>
    <col min="3" max="3" width="5.140625" customWidth="1"/>
    <col min="5" max="5" width="0" hidden="1" customWidth="1"/>
    <col min="7" max="7" width="0" hidden="1" customWidth="1"/>
    <col min="9" max="9" width="0" hidden="1" customWidth="1"/>
    <col min="11" max="11" width="0" hidden="1" customWidth="1"/>
  </cols>
  <sheetData>
    <row r="2" spans="2:14" ht="15.75" thickBot="1" x14ac:dyDescent="0.3">
      <c r="B2" s="37" t="s">
        <v>28</v>
      </c>
    </row>
    <row r="3" spans="2:14" x14ac:dyDescent="0.25">
      <c r="B3" s="38" t="s">
        <v>24</v>
      </c>
      <c r="C3" s="33"/>
      <c r="D3" s="34">
        <f>D5+D6+D7+D8</f>
        <v>3734.9990680335513</v>
      </c>
      <c r="E3" s="34"/>
      <c r="F3" s="34">
        <f>F5+F6+F7+F8</f>
        <v>5441.6626281453873</v>
      </c>
      <c r="G3" s="34"/>
      <c r="H3" s="34">
        <f>H5+H6+H7+H8</f>
        <v>9410.3287943262367</v>
      </c>
      <c r="I3" s="34"/>
      <c r="J3" s="34">
        <f>J5+J6+J7+J8</f>
        <v>16832.295075757571</v>
      </c>
      <c r="K3" s="34"/>
      <c r="L3" s="35">
        <f>L5+L6+L7+L8</f>
        <v>27930.779924242419</v>
      </c>
      <c r="N3" t="s">
        <v>38</v>
      </c>
    </row>
    <row r="4" spans="2:14" x14ac:dyDescent="0.25">
      <c r="B4" s="11" t="s">
        <v>22</v>
      </c>
      <c r="C4" s="7"/>
      <c r="D4" s="8">
        <f>SUM(D5:D7)</f>
        <v>548.13979496738125</v>
      </c>
      <c r="E4" s="8"/>
      <c r="F4" s="8">
        <f>SUM(F5:F7)</f>
        <v>798.60577819198522</v>
      </c>
      <c r="G4" s="8"/>
      <c r="H4" s="8">
        <f>SUM(H5:H7)</f>
        <v>1381.0380141843966</v>
      </c>
      <c r="I4" s="8"/>
      <c r="J4" s="8">
        <f>SUM(J5:J7)</f>
        <v>2470.26856060606</v>
      </c>
      <c r="K4" s="8"/>
      <c r="L4" s="12">
        <f>SUM(L5:L7)</f>
        <v>4099.0564393939385</v>
      </c>
      <c r="N4" t="s">
        <v>39</v>
      </c>
    </row>
    <row r="5" spans="2:14" hidden="1" x14ac:dyDescent="0.25">
      <c r="B5" s="11" t="s">
        <v>2</v>
      </c>
      <c r="C5" s="7">
        <v>15</v>
      </c>
      <c r="D5" s="8">
        <f>D8*C5/100</f>
        <v>478.02889095992549</v>
      </c>
      <c r="E5" s="8">
        <f>C5</f>
        <v>15</v>
      </c>
      <c r="F5" s="8">
        <f>F8*E5/100</f>
        <v>696.45852749301037</v>
      </c>
      <c r="G5" s="8">
        <f>E5</f>
        <v>15</v>
      </c>
      <c r="H5" s="8">
        <f>H8*G5/100</f>
        <v>1204.393617021276</v>
      </c>
      <c r="I5" s="8">
        <f>G5</f>
        <v>15</v>
      </c>
      <c r="J5" s="8">
        <f>J8*I5/100</f>
        <v>2154.3039772727266</v>
      </c>
      <c r="K5" s="8">
        <f>I5</f>
        <v>15</v>
      </c>
      <c r="L5" s="12">
        <f>L8*K5/100</f>
        <v>3574.7585227272716</v>
      </c>
    </row>
    <row r="6" spans="2:14" hidden="1" x14ac:dyDescent="0.25">
      <c r="B6" s="11" t="s">
        <v>3</v>
      </c>
      <c r="C6" s="7">
        <v>0.5</v>
      </c>
      <c r="D6" s="8">
        <f>D8*C6/100</f>
        <v>15.93429636533085</v>
      </c>
      <c r="E6" s="8">
        <f>C6</f>
        <v>0.5</v>
      </c>
      <c r="F6" s="8">
        <f>F8*E6/100</f>
        <v>23.215284249767009</v>
      </c>
      <c r="G6" s="8">
        <f>E6</f>
        <v>0.5</v>
      </c>
      <c r="H6" s="8">
        <f>H8*G6/100</f>
        <v>40.146453900709197</v>
      </c>
      <c r="I6" s="8">
        <f>G6</f>
        <v>0.5</v>
      </c>
      <c r="J6" s="8">
        <f>J8*I6/100</f>
        <v>71.810132575757564</v>
      </c>
      <c r="K6" s="8">
        <f>I6</f>
        <v>0.5</v>
      </c>
      <c r="L6" s="12">
        <f>L8*K6/100</f>
        <v>119.15861742424241</v>
      </c>
    </row>
    <row r="7" spans="2:14" hidden="1" x14ac:dyDescent="0.25">
      <c r="B7" s="11" t="s">
        <v>4</v>
      </c>
      <c r="C7" s="7">
        <v>1.7</v>
      </c>
      <c r="D7" s="8">
        <f>D8*C7/100</f>
        <v>54.176607642124878</v>
      </c>
      <c r="E7" s="8">
        <f>C7</f>
        <v>1.7</v>
      </c>
      <c r="F7" s="8">
        <f>F8*E7/100</f>
        <v>78.931966449207835</v>
      </c>
      <c r="G7" s="8">
        <f>E7</f>
        <v>1.7</v>
      </c>
      <c r="H7" s="8">
        <f>H8*G7/100</f>
        <v>136.49794326241127</v>
      </c>
      <c r="I7" s="8">
        <f>G7</f>
        <v>1.7</v>
      </c>
      <c r="J7" s="8">
        <f>J8*I7/100</f>
        <v>244.15445075757569</v>
      </c>
      <c r="K7" s="8">
        <f>I7</f>
        <v>1.7</v>
      </c>
      <c r="L7" s="12">
        <f>L8*K7/100</f>
        <v>405.13929924242416</v>
      </c>
    </row>
    <row r="8" spans="2:14" x14ac:dyDescent="0.25">
      <c r="B8" s="13" t="s">
        <v>23</v>
      </c>
      <c r="C8" s="9"/>
      <c r="D8" s="44">
        <v>3186.8592730661699</v>
      </c>
      <c r="E8" s="44"/>
      <c r="F8" s="44">
        <v>4643.056849953402</v>
      </c>
      <c r="G8" s="44"/>
      <c r="H8" s="44">
        <v>8029.2907801418396</v>
      </c>
      <c r="I8" s="44"/>
      <c r="J8" s="44">
        <v>14362.026515151512</v>
      </c>
      <c r="K8" s="44"/>
      <c r="L8" s="45">
        <v>23831.72348484848</v>
      </c>
      <c r="N8" t="s">
        <v>40</v>
      </c>
    </row>
    <row r="9" spans="2:14" x14ac:dyDescent="0.25">
      <c r="B9" s="11" t="s">
        <v>25</v>
      </c>
      <c r="C9" s="7">
        <v>20</v>
      </c>
      <c r="D9" s="8">
        <f>D8*C9/100</f>
        <v>637.37185461323395</v>
      </c>
      <c r="E9" s="8">
        <f>C9</f>
        <v>20</v>
      </c>
      <c r="F9" s="8">
        <f>F8*E9/100</f>
        <v>928.61136999068037</v>
      </c>
      <c r="G9" s="8">
        <f>E9</f>
        <v>20</v>
      </c>
      <c r="H9" s="8">
        <f>H8*G9/100</f>
        <v>1605.8581560283678</v>
      </c>
      <c r="I9" s="8">
        <f>G9</f>
        <v>20</v>
      </c>
      <c r="J9" s="8">
        <f>J8*I9/100</f>
        <v>2872.4053030303025</v>
      </c>
      <c r="K9" s="8">
        <f>I9</f>
        <v>20</v>
      </c>
      <c r="L9" s="12">
        <f>L8*K9/100</f>
        <v>4766.3446969696961</v>
      </c>
      <c r="N9" t="s">
        <v>44</v>
      </c>
    </row>
    <row r="10" spans="2:14" hidden="1" x14ac:dyDescent="0.25">
      <c r="B10" s="11" t="s">
        <v>6</v>
      </c>
      <c r="C10" s="7"/>
      <c r="D10" s="8">
        <v>2200</v>
      </c>
      <c r="E10" s="8"/>
      <c r="F10" s="8">
        <v>2200</v>
      </c>
      <c r="G10" s="8"/>
      <c r="H10" s="8">
        <v>2200</v>
      </c>
      <c r="I10" s="8"/>
      <c r="J10" s="8">
        <v>2200</v>
      </c>
      <c r="K10" s="8"/>
      <c r="L10" s="12">
        <v>2200</v>
      </c>
    </row>
    <row r="11" spans="2:14" hidden="1" x14ac:dyDescent="0.25">
      <c r="B11" s="11" t="s">
        <v>1</v>
      </c>
      <c r="C11" s="7"/>
      <c r="D11" s="8">
        <f>D8-D9-D10</f>
        <v>349.4874184529358</v>
      </c>
      <c r="E11" s="8"/>
      <c r="F11" s="8">
        <f>F8-F9-F10</f>
        <v>1514.4454799627215</v>
      </c>
      <c r="G11" s="8"/>
      <c r="H11" s="8">
        <f>H8-H9-H10</f>
        <v>4223.4326241134713</v>
      </c>
      <c r="I11" s="8"/>
      <c r="J11" s="8">
        <f>J8-J9-J10</f>
        <v>9289.6212121212102</v>
      </c>
      <c r="K11" s="8"/>
      <c r="L11" s="12">
        <f>L8-L9-L10</f>
        <v>16865.378787878784</v>
      </c>
    </row>
    <row r="12" spans="2:14" x14ac:dyDescent="0.25">
      <c r="B12" s="39" t="s">
        <v>7</v>
      </c>
      <c r="C12" s="9"/>
      <c r="D12" s="8">
        <f>SUM(D16:D18)</f>
        <v>41.938490214352292</v>
      </c>
      <c r="E12" s="25"/>
      <c r="F12" s="8">
        <f>SUM(F16:F18)</f>
        <v>181.73345759552657</v>
      </c>
      <c r="G12" s="25"/>
      <c r="H12" s="8">
        <f>SUM(H16:H18)</f>
        <v>769.85815602836783</v>
      </c>
      <c r="I12" s="25"/>
      <c r="J12" s="8">
        <f>SUM(J16:J18)</f>
        <v>2109.8484848484841</v>
      </c>
      <c r="K12" s="25"/>
      <c r="L12" s="12">
        <f>SUM(L16:L18)</f>
        <v>5140.1515151515141</v>
      </c>
    </row>
    <row r="13" spans="2:14" hidden="1" x14ac:dyDescent="0.25">
      <c r="B13" s="13" t="s">
        <v>9</v>
      </c>
      <c r="C13" s="9"/>
      <c r="D13" s="10">
        <f>IF(D11&gt;2200,2200,D11)</f>
        <v>349.4874184529358</v>
      </c>
      <c r="E13" s="25"/>
      <c r="F13" s="10">
        <f>IF(F11&gt;2200,2200,F11)</f>
        <v>1514.4454799627215</v>
      </c>
      <c r="G13" s="25"/>
      <c r="H13" s="10">
        <f>IF(H11&gt;2200,2200,H11)</f>
        <v>2200</v>
      </c>
      <c r="I13" s="25"/>
      <c r="J13" s="10">
        <f>IF(J11&gt;2200,2200,J11)</f>
        <v>2200</v>
      </c>
      <c r="K13" s="25"/>
      <c r="L13" s="14">
        <f>IF(L11&gt;2200,2200,L11)</f>
        <v>2200</v>
      </c>
    </row>
    <row r="14" spans="2:14" hidden="1" x14ac:dyDescent="0.25">
      <c r="B14" s="13" t="s">
        <v>10</v>
      </c>
      <c r="C14" s="9"/>
      <c r="D14" s="10">
        <f>IF(D11-2200&gt;0,D11-2200,0)</f>
        <v>0</v>
      </c>
      <c r="E14" s="25"/>
      <c r="F14" s="10">
        <f>IF(F11-2200&gt;0,F11-2200,0)</f>
        <v>0</v>
      </c>
      <c r="G14" s="25"/>
      <c r="H14" s="10">
        <f>IF(H11-2200&gt;0,H11-2200,0)</f>
        <v>2023.4326241134713</v>
      </c>
      <c r="I14" s="25"/>
      <c r="J14" s="10">
        <f>IF(J11-2200&gt;0,J11-2200,0)</f>
        <v>7089.6212121212102</v>
      </c>
      <c r="K14" s="25"/>
      <c r="L14" s="14">
        <f>IF(L11-2200&gt;0,L11-2200,0)</f>
        <v>14665.378787878784</v>
      </c>
    </row>
    <row r="15" spans="2:14" hidden="1" x14ac:dyDescent="0.25">
      <c r="B15" s="13" t="s">
        <v>11</v>
      </c>
      <c r="C15" s="9"/>
      <c r="D15" s="10">
        <f>IF(D11-8800&gt;0,D11-8800,0)</f>
        <v>0</v>
      </c>
      <c r="E15" s="25"/>
      <c r="F15" s="10">
        <f>IF(F11-8800&gt;0,F11-8800,0)</f>
        <v>0</v>
      </c>
      <c r="G15" s="25"/>
      <c r="H15" s="10">
        <f>IF(H11-8800&gt;0,H11-8800,0)</f>
        <v>0</v>
      </c>
      <c r="I15" s="25"/>
      <c r="J15" s="10">
        <f>IF(J11-8800&gt;0,J11-8800,0)</f>
        <v>489.62121212121019</v>
      </c>
      <c r="K15" s="25"/>
      <c r="L15" s="14">
        <f>IF(L11-8800&gt;0,L11-8800,0)</f>
        <v>8065.3787878787844</v>
      </c>
    </row>
    <row r="16" spans="2:14" hidden="1" x14ac:dyDescent="0.25">
      <c r="B16" s="13" t="s">
        <v>12</v>
      </c>
      <c r="C16" s="9">
        <v>12</v>
      </c>
      <c r="D16" s="10">
        <f>IF(D13&lt;2200, C16/100*D13, C16/100*2200)</f>
        <v>41.938490214352292</v>
      </c>
      <c r="E16" s="8">
        <f>C16</f>
        <v>12</v>
      </c>
      <c r="F16" s="10">
        <f>IF(F13&lt;2200, E16/100*F13, E16/100*2200)</f>
        <v>181.73345759552657</v>
      </c>
      <c r="G16" s="8">
        <f>E16</f>
        <v>12</v>
      </c>
      <c r="H16" s="10">
        <f>IF(H13&lt;2200, G16/100*H13, G16/100*2200)</f>
        <v>264</v>
      </c>
      <c r="I16" s="8">
        <f>G16</f>
        <v>12</v>
      </c>
      <c r="J16" s="10">
        <f>IF(J13&lt;2200, I16/100*J13, I16/100*2200)</f>
        <v>264</v>
      </c>
      <c r="K16" s="8">
        <f>I16</f>
        <v>12</v>
      </c>
      <c r="L16" s="14">
        <f>IF(L13&lt;2200, K16/100*L13, K16/100*2200)</f>
        <v>264</v>
      </c>
    </row>
    <row r="17" spans="2:14" hidden="1" x14ac:dyDescent="0.25">
      <c r="B17" s="13" t="s">
        <v>13</v>
      </c>
      <c r="C17" s="9">
        <v>25</v>
      </c>
      <c r="D17" s="10">
        <f>IF(D14&gt;6600, C17/100*6600, C17/100*D14)</f>
        <v>0</v>
      </c>
      <c r="E17" s="8">
        <f>C17</f>
        <v>25</v>
      </c>
      <c r="F17" s="10">
        <f>IF(F14&gt;6600, E17/100*6600, E17/100*F14)</f>
        <v>0</v>
      </c>
      <c r="G17" s="8">
        <f>E17</f>
        <v>25</v>
      </c>
      <c r="H17" s="10">
        <f>IF(H14&gt;6600, G17/100*6600, G17/100*H14)</f>
        <v>505.85815602836783</v>
      </c>
      <c r="I17" s="8">
        <f>G17</f>
        <v>25</v>
      </c>
      <c r="J17" s="10">
        <f>IF(J14&gt;6600, I17/100*6600, I17/100*J14)</f>
        <v>1650</v>
      </c>
      <c r="K17" s="8">
        <f>I17</f>
        <v>25</v>
      </c>
      <c r="L17" s="14">
        <f>IF(L14&gt;6600, K17/100*6600, K17/100*L14)</f>
        <v>1650</v>
      </c>
    </row>
    <row r="18" spans="2:14" hidden="1" x14ac:dyDescent="0.25">
      <c r="B18" s="13" t="s">
        <v>14</v>
      </c>
      <c r="C18" s="9">
        <v>40</v>
      </c>
      <c r="D18" s="10">
        <f>IF(D15&lt;0, 0, 0.4*D15)</f>
        <v>0</v>
      </c>
      <c r="E18" s="8">
        <f>C18</f>
        <v>40</v>
      </c>
      <c r="F18" s="10">
        <f>IF(F15&lt;0, 0, 0.4*F15)</f>
        <v>0</v>
      </c>
      <c r="G18" s="8">
        <f>E18</f>
        <v>40</v>
      </c>
      <c r="H18" s="10">
        <f>IF(H15&lt;0, 0, 0.4*H15)</f>
        <v>0</v>
      </c>
      <c r="I18" s="8">
        <f>G18</f>
        <v>40</v>
      </c>
      <c r="J18" s="10">
        <f>IF(J15&lt;0, 0, 0.4*J15)</f>
        <v>195.84848484848408</v>
      </c>
      <c r="K18" s="8">
        <f>I18</f>
        <v>40</v>
      </c>
      <c r="L18" s="14">
        <f>IF(L15&lt;0, 0, 0.4*L15)</f>
        <v>3226.1515151515141</v>
      </c>
    </row>
    <row r="19" spans="2:14" x14ac:dyDescent="0.25">
      <c r="B19" s="11" t="s">
        <v>15</v>
      </c>
      <c r="C19" s="7">
        <f>C48</f>
        <v>18</v>
      </c>
      <c r="D19" s="8">
        <f>D12*C19/100</f>
        <v>7.5489282385834118</v>
      </c>
      <c r="E19" s="8">
        <f>C19</f>
        <v>18</v>
      </c>
      <c r="F19" s="8">
        <f>F12*E19/100</f>
        <v>32.712022367194784</v>
      </c>
      <c r="G19" s="8">
        <f>E19</f>
        <v>18</v>
      </c>
      <c r="H19" s="8">
        <f>H12*G19/100</f>
        <v>138.57446808510619</v>
      </c>
      <c r="I19" s="8">
        <f>G19</f>
        <v>18</v>
      </c>
      <c r="J19" s="8">
        <f>J12*I19/100</f>
        <v>379.77272727272714</v>
      </c>
      <c r="K19" s="8">
        <f>I19</f>
        <v>18</v>
      </c>
      <c r="L19" s="12">
        <f>L12*K19/100</f>
        <v>925.22727272727252</v>
      </c>
      <c r="N19" t="s">
        <v>54</v>
      </c>
    </row>
    <row r="20" spans="2:14" x14ac:dyDescent="0.25">
      <c r="B20" s="11" t="s">
        <v>8</v>
      </c>
      <c r="C20" s="7"/>
      <c r="D20" s="8">
        <f>D19+D12</f>
        <v>49.487418452935707</v>
      </c>
      <c r="E20" s="8"/>
      <c r="F20" s="8">
        <f>F19+F12</f>
        <v>214.44547996272135</v>
      </c>
      <c r="G20" s="8"/>
      <c r="H20" s="8">
        <f>H19+H12</f>
        <v>908.43262411347405</v>
      </c>
      <c r="I20" s="8"/>
      <c r="J20" s="8">
        <f>J19+J12</f>
        <v>2489.6212121212111</v>
      </c>
      <c r="K20" s="8"/>
      <c r="L20" s="12">
        <f>L19+L12</f>
        <v>6065.3787878787862</v>
      </c>
    </row>
    <row r="21" spans="2:14" ht="15.75" thickBot="1" x14ac:dyDescent="0.3">
      <c r="B21" s="15" t="s">
        <v>0</v>
      </c>
      <c r="C21" s="16"/>
      <c r="D21" s="17">
        <f>D8-D9-D20</f>
        <v>2500</v>
      </c>
      <c r="E21" s="17"/>
      <c r="F21" s="17">
        <f>F8-F9-F20</f>
        <v>3500</v>
      </c>
      <c r="G21" s="17"/>
      <c r="H21" s="17">
        <f>H8-H9-H20</f>
        <v>5514.9999999999973</v>
      </c>
      <c r="I21" s="17"/>
      <c r="J21" s="17">
        <f>J8-J9-J20</f>
        <v>9000</v>
      </c>
      <c r="K21" s="17"/>
      <c r="L21" s="18">
        <f>L8-L9-L20</f>
        <v>12999.999999999998</v>
      </c>
      <c r="N21" t="s">
        <v>41</v>
      </c>
    </row>
    <row r="22" spans="2:14" x14ac:dyDescent="0.25">
      <c r="B22" s="4"/>
      <c r="C22" s="4"/>
      <c r="D22" s="5"/>
      <c r="E22" s="5"/>
      <c r="F22" s="5"/>
      <c r="G22" s="5"/>
      <c r="H22" s="5"/>
      <c r="I22" s="5"/>
      <c r="J22" s="5"/>
      <c r="K22" s="5"/>
      <c r="L22" s="5"/>
      <c r="M22" s="6"/>
      <c r="N22" t="s">
        <v>42</v>
      </c>
    </row>
    <row r="23" spans="2:14" ht="15.75" thickBot="1" x14ac:dyDescent="0.3">
      <c r="B23" s="40" t="s">
        <v>29</v>
      </c>
      <c r="C23" s="3"/>
      <c r="D23" s="2"/>
      <c r="E23" s="2"/>
      <c r="F23" s="2"/>
      <c r="G23" s="2"/>
      <c r="H23" s="2"/>
      <c r="I23" s="2"/>
      <c r="J23" s="2"/>
      <c r="K23" s="2"/>
      <c r="L23" s="2"/>
    </row>
    <row r="24" spans="2:14" x14ac:dyDescent="0.25">
      <c r="B24" s="38" t="s">
        <v>24</v>
      </c>
      <c r="C24" s="33"/>
      <c r="D24" s="34">
        <f>D26+D27+D28+D29</f>
        <v>3734.9990680335513</v>
      </c>
      <c r="E24" s="34"/>
      <c r="F24" s="34">
        <f>F26+F27+F28+F29</f>
        <v>5441.6626281453873</v>
      </c>
      <c r="G24" s="34"/>
      <c r="H24" s="34">
        <f>H26+H27+H28+H29</f>
        <v>9410.3287943262367</v>
      </c>
      <c r="I24" s="34"/>
      <c r="J24" s="34">
        <f>J26+J27+J28+J29</f>
        <v>16832.295075757571</v>
      </c>
      <c r="K24" s="34"/>
      <c r="L24" s="35">
        <f>L26+L27+L28+L29</f>
        <v>27930.779924242419</v>
      </c>
      <c r="N24" t="s">
        <v>43</v>
      </c>
    </row>
    <row r="25" spans="2:14" x14ac:dyDescent="0.25">
      <c r="B25" s="11" t="s">
        <v>22</v>
      </c>
      <c r="C25" s="7"/>
      <c r="D25" s="8">
        <f>SUM(D26:D28)</f>
        <v>548.13979496738125</v>
      </c>
      <c r="E25" s="8"/>
      <c r="F25" s="8">
        <f t="shared" ref="F25:L25" si="0">SUM(F26:F28)</f>
        <v>798.60577819198522</v>
      </c>
      <c r="G25" s="8">
        <f t="shared" si="0"/>
        <v>17.2</v>
      </c>
      <c r="H25" s="8">
        <f t="shared" si="0"/>
        <v>1381.0380141843966</v>
      </c>
      <c r="I25" s="8">
        <f t="shared" si="0"/>
        <v>17.2</v>
      </c>
      <c r="J25" s="8">
        <f t="shared" si="0"/>
        <v>2470.26856060606</v>
      </c>
      <c r="K25" s="8">
        <f t="shared" si="0"/>
        <v>17.2</v>
      </c>
      <c r="L25" s="12">
        <f t="shared" si="0"/>
        <v>4099.0564393939385</v>
      </c>
    </row>
    <row r="26" spans="2:14" hidden="1" x14ac:dyDescent="0.25">
      <c r="B26" s="11" t="s">
        <v>2</v>
      </c>
      <c r="C26" s="7">
        <v>15</v>
      </c>
      <c r="D26" s="8">
        <f>D29*C26/100</f>
        <v>478.02889095992549</v>
      </c>
      <c r="E26" s="8">
        <f>C26</f>
        <v>15</v>
      </c>
      <c r="F26" s="8">
        <f>F29*E26/100</f>
        <v>696.45852749301037</v>
      </c>
      <c r="G26" s="8">
        <f>E26</f>
        <v>15</v>
      </c>
      <c r="H26" s="8">
        <f>H29*G26/100</f>
        <v>1204.393617021276</v>
      </c>
      <c r="I26" s="8">
        <f>G26</f>
        <v>15</v>
      </c>
      <c r="J26" s="8">
        <f>J29*I26/100</f>
        <v>2154.3039772727266</v>
      </c>
      <c r="K26" s="8">
        <f>I26</f>
        <v>15</v>
      </c>
      <c r="L26" s="12">
        <f>L29*K26/100</f>
        <v>3574.7585227272716</v>
      </c>
    </row>
    <row r="27" spans="2:14" hidden="1" x14ac:dyDescent="0.25">
      <c r="B27" s="11" t="s">
        <v>3</v>
      </c>
      <c r="C27" s="7">
        <v>0.5</v>
      </c>
      <c r="D27" s="8">
        <f>D29*C27/100</f>
        <v>15.93429636533085</v>
      </c>
      <c r="E27" s="8">
        <f>C27</f>
        <v>0.5</v>
      </c>
      <c r="F27" s="8">
        <f>F29*E27/100</f>
        <v>23.215284249767009</v>
      </c>
      <c r="G27" s="8">
        <f>E27</f>
        <v>0.5</v>
      </c>
      <c r="H27" s="8">
        <f>H29*G27/100</f>
        <v>40.146453900709197</v>
      </c>
      <c r="I27" s="8">
        <f>G27</f>
        <v>0.5</v>
      </c>
      <c r="J27" s="8">
        <f>J29*I27/100</f>
        <v>71.810132575757564</v>
      </c>
      <c r="K27" s="8">
        <f>I27</f>
        <v>0.5</v>
      </c>
      <c r="L27" s="12">
        <f>L29*K27/100</f>
        <v>119.15861742424241</v>
      </c>
    </row>
    <row r="28" spans="2:14" hidden="1" x14ac:dyDescent="0.25">
      <c r="B28" s="11" t="s">
        <v>4</v>
      </c>
      <c r="C28" s="7">
        <v>1.7</v>
      </c>
      <c r="D28" s="8">
        <f>D29*C28/100</f>
        <v>54.176607642124878</v>
      </c>
      <c r="E28" s="8">
        <f>C28</f>
        <v>1.7</v>
      </c>
      <c r="F28" s="8">
        <f>F29*E28/100</f>
        <v>78.931966449207835</v>
      </c>
      <c r="G28" s="8">
        <f>E28</f>
        <v>1.7</v>
      </c>
      <c r="H28" s="8">
        <f>H29*G28/100</f>
        <v>136.49794326241127</v>
      </c>
      <c r="I28" s="8">
        <f>G28</f>
        <v>1.7</v>
      </c>
      <c r="J28" s="8">
        <f>J29*I28/100</f>
        <v>244.15445075757569</v>
      </c>
      <c r="K28" s="8">
        <f>I28</f>
        <v>1.7</v>
      </c>
      <c r="L28" s="12">
        <f>L29*K28/100</f>
        <v>405.13929924242416</v>
      </c>
    </row>
    <row r="29" spans="2:14" x14ac:dyDescent="0.25">
      <c r="B29" s="13" t="s">
        <v>23</v>
      </c>
      <c r="C29" s="9"/>
      <c r="D29" s="25">
        <f>D8</f>
        <v>3186.8592730661699</v>
      </c>
      <c r="E29" s="25"/>
      <c r="F29" s="25">
        <f t="shared" ref="F29:L29" si="1">F8</f>
        <v>4643.056849953402</v>
      </c>
      <c r="G29" s="25">
        <f t="shared" si="1"/>
        <v>0</v>
      </c>
      <c r="H29" s="25">
        <f t="shared" si="1"/>
        <v>8029.2907801418396</v>
      </c>
      <c r="I29" s="25">
        <f t="shared" si="1"/>
        <v>0</v>
      </c>
      <c r="J29" s="25">
        <f t="shared" si="1"/>
        <v>14362.026515151512</v>
      </c>
      <c r="K29" s="25">
        <f t="shared" si="1"/>
        <v>0</v>
      </c>
      <c r="L29" s="36">
        <f t="shared" si="1"/>
        <v>23831.72348484848</v>
      </c>
    </row>
    <row r="30" spans="2:14" x14ac:dyDescent="0.25">
      <c r="B30" s="11" t="s">
        <v>5</v>
      </c>
      <c r="C30" s="7">
        <v>20</v>
      </c>
      <c r="D30" s="8">
        <f>D29*C30/100</f>
        <v>637.37185461323395</v>
      </c>
      <c r="E30" s="8">
        <f>C30</f>
        <v>20</v>
      </c>
      <c r="F30" s="8">
        <f>F29*E30/100</f>
        <v>928.61136999068037</v>
      </c>
      <c r="G30" s="8">
        <f>E30</f>
        <v>20</v>
      </c>
      <c r="H30" s="8">
        <f>H29*G30/100</f>
        <v>1605.8581560283678</v>
      </c>
      <c r="I30" s="8">
        <f>G30</f>
        <v>20</v>
      </c>
      <c r="J30" s="8">
        <f>J29*I30/100</f>
        <v>2872.4053030303025</v>
      </c>
      <c r="K30" s="8">
        <f>I30</f>
        <v>20</v>
      </c>
      <c r="L30" s="12">
        <f>L29*K30/100</f>
        <v>4766.3446969696961</v>
      </c>
    </row>
    <row r="31" spans="2:14" hidden="1" x14ac:dyDescent="0.25">
      <c r="B31" s="11" t="s">
        <v>6</v>
      </c>
      <c r="C31" s="7"/>
      <c r="D31" s="8">
        <v>2600</v>
      </c>
      <c r="E31" s="8"/>
      <c r="F31" s="8">
        <v>2600</v>
      </c>
      <c r="G31" s="8"/>
      <c r="H31" s="8">
        <v>2600</v>
      </c>
      <c r="I31" s="8"/>
      <c r="J31" s="8">
        <v>2600</v>
      </c>
      <c r="K31" s="8"/>
      <c r="L31" s="12">
        <v>2600</v>
      </c>
    </row>
    <row r="32" spans="2:14" hidden="1" x14ac:dyDescent="0.25">
      <c r="B32" s="11" t="s">
        <v>1</v>
      </c>
      <c r="C32" s="7"/>
      <c r="D32" s="8">
        <f>IF(D29-D30-D31&lt;0,0,D29-D30-D31)</f>
        <v>0</v>
      </c>
      <c r="E32" s="8"/>
      <c r="F32" s="8">
        <f t="shared" ref="F32:L32" si="2">IF(F29-F30-F31&lt;0,0,F29-F30-F31)</f>
        <v>1114.4454799627215</v>
      </c>
      <c r="G32" s="8">
        <f t="shared" si="2"/>
        <v>0</v>
      </c>
      <c r="H32" s="8">
        <f t="shared" si="2"/>
        <v>3823.4326241134713</v>
      </c>
      <c r="I32" s="8">
        <f t="shared" si="2"/>
        <v>0</v>
      </c>
      <c r="J32" s="8">
        <f t="shared" si="2"/>
        <v>8889.6212121212102</v>
      </c>
      <c r="K32" s="8">
        <f t="shared" si="2"/>
        <v>0</v>
      </c>
      <c r="L32" s="12">
        <f t="shared" si="2"/>
        <v>16465.378787878784</v>
      </c>
    </row>
    <row r="33" spans="2:14" x14ac:dyDescent="0.25">
      <c r="B33" s="39" t="s">
        <v>7</v>
      </c>
      <c r="C33" s="9"/>
      <c r="D33" s="8">
        <f>SUM(D37:D39)</f>
        <v>0</v>
      </c>
      <c r="E33" s="25"/>
      <c r="F33" s="8">
        <f>SUM(F37:F39)</f>
        <v>133.73345759552657</v>
      </c>
      <c r="G33" s="25"/>
      <c r="H33" s="8">
        <f>SUM(H37:H39)</f>
        <v>669.85815602836783</v>
      </c>
      <c r="I33" s="25"/>
      <c r="J33" s="8">
        <f>SUM(J37:J39)</f>
        <v>1936.4053030303025</v>
      </c>
      <c r="K33" s="25"/>
      <c r="L33" s="12">
        <f>SUM(L37:L39)</f>
        <v>4320.1515151515141</v>
      </c>
    </row>
    <row r="34" spans="2:14" hidden="1" x14ac:dyDescent="0.25">
      <c r="B34" s="13" t="s">
        <v>9</v>
      </c>
      <c r="C34" s="9"/>
      <c r="D34" s="10">
        <f>IF(D32&gt;2200,2200,D32)</f>
        <v>0</v>
      </c>
      <c r="E34" s="25"/>
      <c r="F34" s="10">
        <f>IF(F32&gt;2200,2200,F32)</f>
        <v>1114.4454799627215</v>
      </c>
      <c r="G34" s="25"/>
      <c r="H34" s="10">
        <f>IF(H32&gt;2200,2200,H32)</f>
        <v>2200</v>
      </c>
      <c r="I34" s="25"/>
      <c r="J34" s="10">
        <f>IF(J32&gt;2200,2200,J32)</f>
        <v>2200</v>
      </c>
      <c r="K34" s="25"/>
      <c r="L34" s="14">
        <f>IF(L32&gt;2200,2200,L32)</f>
        <v>2200</v>
      </c>
    </row>
    <row r="35" spans="2:14" hidden="1" x14ac:dyDescent="0.25">
      <c r="B35" s="13" t="s">
        <v>10</v>
      </c>
      <c r="C35" s="9"/>
      <c r="D35" s="10">
        <f>IF(D32-2200&gt;0,D32-2200,0)</f>
        <v>0</v>
      </c>
      <c r="E35" s="25"/>
      <c r="F35" s="10">
        <f>IF(F32-2200&gt;0,F32-2200,0)</f>
        <v>0</v>
      </c>
      <c r="G35" s="25"/>
      <c r="H35" s="10">
        <f>IF(H32-2200&gt;0,H32-2200,0)</f>
        <v>1623.4326241134713</v>
      </c>
      <c r="I35" s="25"/>
      <c r="J35" s="10">
        <f>IF(J32-2200&gt;0,J32-2200,0)</f>
        <v>6689.6212121212102</v>
      </c>
      <c r="K35" s="25"/>
      <c r="L35" s="14">
        <f>IF(L32-2200&gt;0,L32-2200,0)</f>
        <v>14265.378787878784</v>
      </c>
    </row>
    <row r="36" spans="2:14" hidden="1" x14ac:dyDescent="0.25">
      <c r="B36" s="13" t="s">
        <v>11</v>
      </c>
      <c r="C36" s="9"/>
      <c r="D36" s="10">
        <f>IF(D32-13200&gt;0,D32-13200,0)</f>
        <v>0</v>
      </c>
      <c r="E36" s="25"/>
      <c r="F36" s="10">
        <f>IF(F32-13200&gt;0,F32-13200,0)</f>
        <v>0</v>
      </c>
      <c r="G36" s="25"/>
      <c r="H36" s="10">
        <f>IF(H32-13200&gt;0,H32-13200,0)</f>
        <v>0</v>
      </c>
      <c r="I36" s="25"/>
      <c r="J36" s="10">
        <f>IF(J32-13200&gt;0,J32-13200,0)</f>
        <v>0</v>
      </c>
      <c r="K36" s="25"/>
      <c r="L36" s="14">
        <f>IF(L32-13200&gt;0,L32-13200,0)</f>
        <v>3265.3787878787844</v>
      </c>
    </row>
    <row r="37" spans="2:14" hidden="1" x14ac:dyDescent="0.25">
      <c r="B37" s="13" t="s">
        <v>12</v>
      </c>
      <c r="C37" s="9">
        <v>12</v>
      </c>
      <c r="D37" s="10">
        <f>IF(D34&lt;2200, 0.12*D34, 0.12*2200)</f>
        <v>0</v>
      </c>
      <c r="E37" s="8">
        <f>C37</f>
        <v>12</v>
      </c>
      <c r="F37" s="10">
        <f>IF(F34&lt;2200, 0.12*F34, 0.12*2200)</f>
        <v>133.73345759552657</v>
      </c>
      <c r="G37" s="8">
        <f>E37</f>
        <v>12</v>
      </c>
      <c r="H37" s="10">
        <f>IF(H34&lt;2200, 0.12*H34, 0.12*2200)</f>
        <v>264</v>
      </c>
      <c r="I37" s="8">
        <f>G37</f>
        <v>12</v>
      </c>
      <c r="J37" s="10">
        <f>IF(J34&lt;2200, 0.12*J34, 0.12*2200)</f>
        <v>264</v>
      </c>
      <c r="K37" s="8">
        <f>I37</f>
        <v>12</v>
      </c>
      <c r="L37" s="14">
        <f>IF(L34&lt;2200, 0.12*L34, 0.12*2200)</f>
        <v>264</v>
      </c>
    </row>
    <row r="38" spans="2:14" hidden="1" x14ac:dyDescent="0.25">
      <c r="B38" s="13" t="s">
        <v>13</v>
      </c>
      <c r="C38" s="9">
        <v>25</v>
      </c>
      <c r="D38" s="10">
        <f>IF(D35&gt;11000, 0.25*11000, 0.25*D35)</f>
        <v>0</v>
      </c>
      <c r="E38" s="8">
        <f>C38</f>
        <v>25</v>
      </c>
      <c r="F38" s="10">
        <f>IF(F35&gt;11000, 0.25*11000, 0.25*F35)</f>
        <v>0</v>
      </c>
      <c r="G38" s="8">
        <f>E38</f>
        <v>25</v>
      </c>
      <c r="H38" s="10">
        <f>IF(H35&gt;11000, 0.25*11000, 0.25*H35)</f>
        <v>405.85815602836783</v>
      </c>
      <c r="I38" s="8">
        <f>G38</f>
        <v>25</v>
      </c>
      <c r="J38" s="10">
        <f>IF(J35&gt;11000, 0.25*11000, 0.25*J35)</f>
        <v>1672.4053030303025</v>
      </c>
      <c r="K38" s="8">
        <f>I38</f>
        <v>25</v>
      </c>
      <c r="L38" s="14">
        <f>IF(L35&gt;11000, 0.25*11000, 0.25*L35)</f>
        <v>2750</v>
      </c>
    </row>
    <row r="39" spans="2:14" hidden="1" x14ac:dyDescent="0.25">
      <c r="B39" s="13" t="s">
        <v>14</v>
      </c>
      <c r="C39" s="9">
        <v>40</v>
      </c>
      <c r="D39" s="10">
        <f>IF(D36&lt;0, 0, 0.4*D36)</f>
        <v>0</v>
      </c>
      <c r="E39" s="8">
        <f>C39</f>
        <v>40</v>
      </c>
      <c r="F39" s="10">
        <f>IF(F36&lt;0, 0, 0.4*F36)</f>
        <v>0</v>
      </c>
      <c r="G39" s="8">
        <f>E39</f>
        <v>40</v>
      </c>
      <c r="H39" s="10">
        <f>IF(H36&lt;0, 0, 0.4*H36)</f>
        <v>0</v>
      </c>
      <c r="I39" s="8">
        <f>G39</f>
        <v>40</v>
      </c>
      <c r="J39" s="10">
        <f>IF(J36&lt;0, 0, 0.4*J36)</f>
        <v>0</v>
      </c>
      <c r="K39" s="8">
        <f>I39</f>
        <v>40</v>
      </c>
      <c r="L39" s="14">
        <f>IF(L36&lt;0, 0, 0.4*L36)</f>
        <v>1306.1515151515139</v>
      </c>
    </row>
    <row r="40" spans="2:14" x14ac:dyDescent="0.25">
      <c r="B40" s="11" t="s">
        <v>15</v>
      </c>
      <c r="C40" s="7">
        <f>C48</f>
        <v>18</v>
      </c>
      <c r="D40" s="8">
        <f>D33*C40/100</f>
        <v>0</v>
      </c>
      <c r="E40" s="8">
        <f>C40</f>
        <v>18</v>
      </c>
      <c r="F40" s="8">
        <f>F33*E40/100</f>
        <v>24.07202236719478</v>
      </c>
      <c r="G40" s="8">
        <f>E40</f>
        <v>18</v>
      </c>
      <c r="H40" s="8">
        <f>H33*G40/100</f>
        <v>120.5744680851062</v>
      </c>
      <c r="I40" s="8">
        <f>G40</f>
        <v>18</v>
      </c>
      <c r="J40" s="8">
        <f>J33*I40/100</f>
        <v>348.5529545454545</v>
      </c>
      <c r="K40" s="8">
        <f>I40</f>
        <v>18</v>
      </c>
      <c r="L40" s="12">
        <f>L33*K40/100</f>
        <v>777.6272727272725</v>
      </c>
    </row>
    <row r="41" spans="2:14" x14ac:dyDescent="0.25">
      <c r="B41" s="11" t="s">
        <v>8</v>
      </c>
      <c r="C41" s="7"/>
      <c r="D41" s="8">
        <f>D40+D33</f>
        <v>0</v>
      </c>
      <c r="E41" s="8"/>
      <c r="F41" s="8">
        <f>F40+F33</f>
        <v>157.80547996272136</v>
      </c>
      <c r="G41" s="8"/>
      <c r="H41" s="8">
        <f>H40+H33</f>
        <v>790.43262411347405</v>
      </c>
      <c r="I41" s="8"/>
      <c r="J41" s="8">
        <f>J40+J33</f>
        <v>2284.9582575757572</v>
      </c>
      <c r="K41" s="8"/>
      <c r="L41" s="12">
        <f>L40+L33</f>
        <v>5097.7787878787867</v>
      </c>
    </row>
    <row r="42" spans="2:14" ht="15.75" thickBot="1" x14ac:dyDescent="0.3">
      <c r="B42" s="15" t="s">
        <v>17</v>
      </c>
      <c r="C42" s="16"/>
      <c r="D42" s="17">
        <f>D29-D30-D41</f>
        <v>2549.4874184529358</v>
      </c>
      <c r="E42" s="17"/>
      <c r="F42" s="17">
        <f>F29-F30-F41</f>
        <v>3556.6400000000003</v>
      </c>
      <c r="G42" s="17"/>
      <c r="H42" s="17">
        <f>H29-H30-H41</f>
        <v>5632.9999999999973</v>
      </c>
      <c r="I42" s="17"/>
      <c r="J42" s="17">
        <f>J29-J30-J41</f>
        <v>9204.6629545454525</v>
      </c>
      <c r="K42" s="17"/>
      <c r="L42" s="18">
        <f>L29-L30-L41</f>
        <v>13967.599999999999</v>
      </c>
    </row>
    <row r="43" spans="2:14" x14ac:dyDescent="0.25">
      <c r="B43" s="3"/>
      <c r="C43" s="3"/>
      <c r="D43" s="2"/>
      <c r="E43" s="2"/>
      <c r="F43" s="2"/>
      <c r="G43" s="2"/>
      <c r="H43" s="2"/>
      <c r="I43" s="2"/>
      <c r="J43" s="2"/>
      <c r="K43" s="2"/>
      <c r="L43" s="2"/>
    </row>
    <row r="44" spans="2:14" ht="15.75" thickBot="1" x14ac:dyDescent="0.3">
      <c r="B44" s="40" t="s">
        <v>26</v>
      </c>
      <c r="C44" s="3"/>
      <c r="D44" s="2"/>
      <c r="E44" s="2"/>
      <c r="F44" s="2"/>
      <c r="G44" s="2"/>
      <c r="H44" s="2"/>
      <c r="I44" s="2"/>
      <c r="J44" s="2"/>
      <c r="K44" s="2"/>
      <c r="L44" s="2"/>
    </row>
    <row r="45" spans="2:14" x14ac:dyDescent="0.25">
      <c r="B45" s="20" t="s">
        <v>16</v>
      </c>
      <c r="C45" s="21"/>
      <c r="D45" s="22">
        <f>D21</f>
        <v>2500</v>
      </c>
      <c r="E45" s="22"/>
      <c r="F45" s="22">
        <f>F21</f>
        <v>3500</v>
      </c>
      <c r="G45" s="22"/>
      <c r="H45" s="22">
        <f>H21</f>
        <v>5514.9999999999973</v>
      </c>
      <c r="I45" s="22"/>
      <c r="J45" s="22">
        <f>J21</f>
        <v>9000</v>
      </c>
      <c r="K45" s="22"/>
      <c r="L45" s="23">
        <f>L21</f>
        <v>12999.999999999998</v>
      </c>
    </row>
    <row r="46" spans="2:14" x14ac:dyDescent="0.25">
      <c r="B46" s="24" t="s">
        <v>20</v>
      </c>
      <c r="C46" s="19"/>
      <c r="D46" s="10">
        <f>D42</f>
        <v>2549.4874184529358</v>
      </c>
      <c r="E46" s="10"/>
      <c r="F46" s="10">
        <f>F42</f>
        <v>3556.6400000000003</v>
      </c>
      <c r="G46" s="10"/>
      <c r="H46" s="10">
        <f>H42</f>
        <v>5632.9999999999973</v>
      </c>
      <c r="I46" s="10"/>
      <c r="J46" s="10">
        <f>J42</f>
        <v>9204.6629545454525</v>
      </c>
      <c r="K46" s="10"/>
      <c r="L46" s="14">
        <f>L42</f>
        <v>13967.599999999999</v>
      </c>
    </row>
    <row r="47" spans="2:14" x14ac:dyDescent="0.25">
      <c r="B47" s="26" t="s">
        <v>30</v>
      </c>
      <c r="C47" s="27"/>
      <c r="D47" s="28">
        <f>D46-D45</f>
        <v>49.487418452935799</v>
      </c>
      <c r="E47" s="28"/>
      <c r="F47" s="28">
        <f t="shared" ref="F47:L47" si="3">F46-F45</f>
        <v>56.640000000000327</v>
      </c>
      <c r="G47" s="28">
        <f t="shared" si="3"/>
        <v>0</v>
      </c>
      <c r="H47" s="28">
        <f t="shared" si="3"/>
        <v>118</v>
      </c>
      <c r="I47" s="28">
        <f t="shared" si="3"/>
        <v>0</v>
      </c>
      <c r="J47" s="28">
        <f t="shared" si="3"/>
        <v>204.66295454545252</v>
      </c>
      <c r="K47" s="28">
        <f t="shared" si="3"/>
        <v>0</v>
      </c>
      <c r="L47" s="43">
        <f t="shared" si="3"/>
        <v>967.60000000000036</v>
      </c>
    </row>
    <row r="48" spans="2:14" x14ac:dyDescent="0.25">
      <c r="B48" s="24" t="s">
        <v>18</v>
      </c>
      <c r="C48" s="46">
        <v>18</v>
      </c>
      <c r="D48" s="10">
        <f>D19</f>
        <v>7.5489282385834118</v>
      </c>
      <c r="E48" s="8">
        <f>C48</f>
        <v>18</v>
      </c>
      <c r="F48" s="10">
        <f>F19</f>
        <v>32.712022367194784</v>
      </c>
      <c r="G48" s="8">
        <f>E48</f>
        <v>18</v>
      </c>
      <c r="H48" s="10">
        <f>H19</f>
        <v>138.57446808510619</v>
      </c>
      <c r="I48" s="8">
        <f>G48</f>
        <v>18</v>
      </c>
      <c r="J48" s="10">
        <f>J19</f>
        <v>379.77272727272714</v>
      </c>
      <c r="K48" s="8">
        <f>I48</f>
        <v>18</v>
      </c>
      <c r="L48" s="14">
        <f>L19</f>
        <v>925.22727272727252</v>
      </c>
      <c r="N48" t="s">
        <v>51</v>
      </c>
    </row>
    <row r="49" spans="2:14" x14ac:dyDescent="0.25">
      <c r="B49" s="24" t="s">
        <v>19</v>
      </c>
      <c r="C49" s="46">
        <v>20</v>
      </c>
      <c r="D49" s="10">
        <f>D33*C49/100</f>
        <v>0</v>
      </c>
      <c r="E49" s="8">
        <f>C49</f>
        <v>20</v>
      </c>
      <c r="F49" s="10">
        <f>F33*E49/100</f>
        <v>26.746691519105315</v>
      </c>
      <c r="G49" s="8">
        <f>E49</f>
        <v>20</v>
      </c>
      <c r="H49" s="10">
        <f>H33*G49/100</f>
        <v>133.97163120567356</v>
      </c>
      <c r="I49" s="8">
        <f>G49</f>
        <v>20</v>
      </c>
      <c r="J49" s="10">
        <f>J33*I49/100</f>
        <v>387.28106060606046</v>
      </c>
      <c r="K49" s="8">
        <f>I49</f>
        <v>20</v>
      </c>
      <c r="L49" s="14">
        <f>L33*K49/100</f>
        <v>864.03030303030278</v>
      </c>
      <c r="N49" t="s">
        <v>52</v>
      </c>
    </row>
    <row r="50" spans="2:14" x14ac:dyDescent="0.25">
      <c r="B50" s="26" t="s">
        <v>50</v>
      </c>
      <c r="C50" s="27"/>
      <c r="D50" s="28">
        <f>D49-D48</f>
        <v>-7.5489282385834118</v>
      </c>
      <c r="E50" s="28"/>
      <c r="F50" s="28">
        <f t="shared" ref="F50:L50" si="4">F49-F48</f>
        <v>-5.9653308480894687</v>
      </c>
      <c r="G50" s="28">
        <f t="shared" si="4"/>
        <v>2</v>
      </c>
      <c r="H50" s="28">
        <f t="shared" si="4"/>
        <v>-4.6028368794326298</v>
      </c>
      <c r="I50" s="28">
        <f t="shared" si="4"/>
        <v>2</v>
      </c>
      <c r="J50" s="28">
        <f t="shared" si="4"/>
        <v>7.5083333333333258</v>
      </c>
      <c r="K50" s="28">
        <f t="shared" si="4"/>
        <v>2</v>
      </c>
      <c r="L50" s="43">
        <f t="shared" si="4"/>
        <v>-61.196969696969745</v>
      </c>
      <c r="N50" t="s">
        <v>53</v>
      </c>
    </row>
    <row r="51" spans="2:14" x14ac:dyDescent="0.25">
      <c r="B51" s="24" t="s">
        <v>21</v>
      </c>
      <c r="C51" s="19"/>
      <c r="D51" s="10">
        <f>D46+D40-D49</f>
        <v>2549.4874184529358</v>
      </c>
      <c r="E51" s="10"/>
      <c r="F51" s="10">
        <f>F46+F40-F49</f>
        <v>3553.9653308480897</v>
      </c>
      <c r="G51" s="10"/>
      <c r="H51" s="10">
        <f>H46+H40-H49</f>
        <v>5619.6028368794296</v>
      </c>
      <c r="I51" s="10"/>
      <c r="J51" s="10">
        <f>J46+J40-J49</f>
        <v>9165.9348484848451</v>
      </c>
      <c r="K51" s="10"/>
      <c r="L51" s="14">
        <f>L46+L40-L49</f>
        <v>13881.196969696968</v>
      </c>
    </row>
    <row r="52" spans="2:14" ht="15.75" thickBot="1" x14ac:dyDescent="0.3">
      <c r="B52" s="29" t="s">
        <v>27</v>
      </c>
      <c r="C52" s="30"/>
      <c r="D52" s="31">
        <f>D51-D45</f>
        <v>49.487418452935799</v>
      </c>
      <c r="E52" s="31"/>
      <c r="F52" s="31">
        <f>F51-F45</f>
        <v>53.965330848089707</v>
      </c>
      <c r="G52" s="31"/>
      <c r="H52" s="31">
        <f>H51-H45</f>
        <v>104.60283687943229</v>
      </c>
      <c r="I52" s="31"/>
      <c r="J52" s="31">
        <f>J51-J45</f>
        <v>165.93484848484513</v>
      </c>
      <c r="K52" s="31"/>
      <c r="L52" s="32">
        <f>L51-L45</f>
        <v>881.19696969696997</v>
      </c>
    </row>
    <row r="53" spans="2:14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2:14" ht="15.75" thickBot="1" x14ac:dyDescent="0.3">
      <c r="B54" s="4" t="s">
        <v>31</v>
      </c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2:14" x14ac:dyDescent="0.25">
      <c r="B55" s="41" t="s">
        <v>32</v>
      </c>
      <c r="C55" s="21"/>
      <c r="D55" s="22">
        <f>D4+D9+(D12*0.155)</f>
        <v>1192.0121155638396</v>
      </c>
      <c r="E55" s="22"/>
      <c r="F55" s="22">
        <f t="shared" ref="F55:L55" si="5">F4+F9+(F12*0.155)</f>
        <v>1755.3858341099722</v>
      </c>
      <c r="G55" s="22">
        <f t="shared" si="5"/>
        <v>20</v>
      </c>
      <c r="H55" s="22">
        <f t="shared" si="5"/>
        <v>3106.2241843971615</v>
      </c>
      <c r="I55" s="22">
        <f t="shared" si="5"/>
        <v>20</v>
      </c>
      <c r="J55" s="22">
        <f t="shared" si="5"/>
        <v>5669.7003787878775</v>
      </c>
      <c r="K55" s="22">
        <f t="shared" si="5"/>
        <v>20</v>
      </c>
      <c r="L55" s="23">
        <f t="shared" si="5"/>
        <v>9662.1246212121187</v>
      </c>
      <c r="N55" t="s">
        <v>45</v>
      </c>
    </row>
    <row r="56" spans="2:14" x14ac:dyDescent="0.25">
      <c r="B56" s="42" t="s">
        <v>33</v>
      </c>
      <c r="C56" s="19"/>
      <c r="D56" s="10">
        <f>D12*0.845+D19</f>
        <v>42.986952469711099</v>
      </c>
      <c r="E56" s="10"/>
      <c r="F56" s="10">
        <f t="shared" ref="F56:L56" si="6">F12*0.845+F19</f>
        <v>186.27679403541472</v>
      </c>
      <c r="G56" s="10">
        <f t="shared" si="6"/>
        <v>18</v>
      </c>
      <c r="H56" s="10">
        <f t="shared" si="6"/>
        <v>789.10460992907701</v>
      </c>
      <c r="I56" s="10">
        <f t="shared" si="6"/>
        <v>18</v>
      </c>
      <c r="J56" s="10">
        <f t="shared" si="6"/>
        <v>2162.5946969696961</v>
      </c>
      <c r="K56" s="10">
        <f t="shared" si="6"/>
        <v>18</v>
      </c>
      <c r="L56" s="14">
        <f t="shared" si="6"/>
        <v>5268.6553030303021</v>
      </c>
      <c r="N56" t="s">
        <v>46</v>
      </c>
    </row>
    <row r="57" spans="2:14" x14ac:dyDescent="0.25">
      <c r="B57" s="42" t="s">
        <v>34</v>
      </c>
      <c r="C57" s="19"/>
      <c r="D57" s="10">
        <f>D25+D30+(D33*0.175)</f>
        <v>1185.5116495806151</v>
      </c>
      <c r="E57" s="10"/>
      <c r="F57" s="10">
        <f t="shared" ref="F57:L57" si="7">F25+F30+(F33*0.175)</f>
        <v>1750.6205032618827</v>
      </c>
      <c r="G57" s="10">
        <f t="shared" si="7"/>
        <v>37.200000000000003</v>
      </c>
      <c r="H57" s="10">
        <f t="shared" si="7"/>
        <v>3104.1213475177287</v>
      </c>
      <c r="I57" s="10">
        <f t="shared" si="7"/>
        <v>37.200000000000003</v>
      </c>
      <c r="J57" s="10">
        <f t="shared" si="7"/>
        <v>5681.5447916666653</v>
      </c>
      <c r="K57" s="10">
        <f t="shared" si="7"/>
        <v>37.200000000000003</v>
      </c>
      <c r="L57" s="14">
        <f t="shared" si="7"/>
        <v>9621.4276515151487</v>
      </c>
      <c r="N57" t="s">
        <v>47</v>
      </c>
    </row>
    <row r="58" spans="2:14" x14ac:dyDescent="0.25">
      <c r="B58" s="42" t="s">
        <v>35</v>
      </c>
      <c r="C58" s="19"/>
      <c r="D58" s="10">
        <f>D33*0.825+D40</f>
        <v>0</v>
      </c>
      <c r="E58" s="10"/>
      <c r="F58" s="10">
        <f t="shared" ref="F58:L58" si="8">F33*0.825+F40</f>
        <v>134.4021248835042</v>
      </c>
      <c r="G58" s="10">
        <f t="shared" si="8"/>
        <v>18</v>
      </c>
      <c r="H58" s="10">
        <f t="shared" si="8"/>
        <v>673.20744680850964</v>
      </c>
      <c r="I58" s="10">
        <f t="shared" si="8"/>
        <v>18</v>
      </c>
      <c r="J58" s="10">
        <f t="shared" si="8"/>
        <v>1946.0873295454539</v>
      </c>
      <c r="K58" s="10">
        <f t="shared" si="8"/>
        <v>18</v>
      </c>
      <c r="L58" s="14">
        <f t="shared" si="8"/>
        <v>4341.7522727272717</v>
      </c>
      <c r="N58" t="s">
        <v>48</v>
      </c>
    </row>
    <row r="59" spans="2:14" x14ac:dyDescent="0.25">
      <c r="B59" s="26" t="s">
        <v>36</v>
      </c>
      <c r="C59" s="27"/>
      <c r="D59" s="28">
        <f>D57-D55</f>
        <v>-6.5004659832245579</v>
      </c>
      <c r="E59" s="27"/>
      <c r="F59" s="28">
        <f t="shared" ref="F59:L59" si="9">F57-F55</f>
        <v>-4.7653308480894339</v>
      </c>
      <c r="G59" s="28">
        <f t="shared" si="9"/>
        <v>17.200000000000003</v>
      </c>
      <c r="H59" s="28">
        <f t="shared" si="9"/>
        <v>-2.1028368794327434</v>
      </c>
      <c r="I59" s="28">
        <f t="shared" si="9"/>
        <v>17.200000000000003</v>
      </c>
      <c r="J59" s="28">
        <f t="shared" si="9"/>
        <v>11.844412878787807</v>
      </c>
      <c r="K59" s="28">
        <f t="shared" si="9"/>
        <v>17.200000000000003</v>
      </c>
      <c r="L59" s="43">
        <f t="shared" si="9"/>
        <v>-40.696969696969973</v>
      </c>
      <c r="N59" t="s">
        <v>49</v>
      </c>
    </row>
    <row r="60" spans="2:14" ht="15.75" thickBot="1" x14ac:dyDescent="0.3">
      <c r="B60" s="29" t="s">
        <v>37</v>
      </c>
      <c r="C60" s="30"/>
      <c r="D60" s="31">
        <f>D58-D56</f>
        <v>-42.986952469711099</v>
      </c>
      <c r="E60" s="30"/>
      <c r="F60" s="31">
        <f t="shared" ref="F60:L60" si="10">F58-F56</f>
        <v>-51.874669151910524</v>
      </c>
      <c r="G60" s="31">
        <f t="shared" si="10"/>
        <v>0</v>
      </c>
      <c r="H60" s="31">
        <f t="shared" si="10"/>
        <v>-115.89716312056737</v>
      </c>
      <c r="I60" s="31">
        <f t="shared" si="10"/>
        <v>0</v>
      </c>
      <c r="J60" s="31">
        <f t="shared" si="10"/>
        <v>-216.50736742424215</v>
      </c>
      <c r="K60" s="31">
        <f t="shared" si="10"/>
        <v>0</v>
      </c>
      <c r="L60" s="32">
        <f t="shared" si="10"/>
        <v>-926.90303030303039</v>
      </c>
    </row>
    <row r="61" spans="2:14" x14ac:dyDescent="0.25">
      <c r="B61" s="1"/>
      <c r="C61" s="3"/>
    </row>
  </sheetData>
  <sheetProtection password="CA2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xx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Dario</cp:lastModifiedBy>
  <dcterms:created xsi:type="dcterms:W3CDTF">2014-08-24T06:03:28Z</dcterms:created>
  <dcterms:modified xsi:type="dcterms:W3CDTF">2014-12-12T12:42:14Z</dcterms:modified>
</cp:coreProperties>
</file>